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berekening zonder lening" sheetId="1" r:id="rId1"/>
  </sheets>
  <definedNames>
    <definedName name="verzekering">'berekening zonder lening'!$Q$5</definedName>
    <definedName name="onderhoud">'berekening zonder lening'!$Q$6</definedName>
    <definedName name="inflatie">'berekening zonder lening'!$Q$8</definedName>
    <definedName name="prijsstijging">'berekening zonder lening'!$Q$9</definedName>
    <definedName name="rendementsverlies">'berekening zonder lening'!$Q$12</definedName>
    <definedName name="systeem">'berekening zonder lening'!$B$13</definedName>
    <definedName name="kostenpaneel">'berekening zonder lening'!$B$5</definedName>
    <definedName name="kostenWp">'berekening zonder lening'!$B$6</definedName>
    <definedName name="opbrengstpaneel">'berekening zonder lening'!$B$11</definedName>
    <definedName name="aantal">'berekening zonder lening'!$B$12</definedName>
    <definedName name="subsidie">'berekening zonder lening'!$I$7</definedName>
    <definedName name="aanschafkosten">'berekening zonder lening'!$I$9</definedName>
    <definedName name="afschrijving">'berekening zonder lening'!$I$11</definedName>
    <definedName name="energieprijs">'berekening zonder lening'!$Q$10</definedName>
    <definedName name="veroudering">'berekening zonder lening'!$Q$11</definedName>
    <definedName name="rendement">'berekening zonder lening'!$B$9</definedName>
    <definedName name="orientatie">'berekening zonder lening'!$B$7</definedName>
    <definedName name="hellingshoek">'berekening zonder lening'!$B$8</definedName>
    <definedName name="totaalopbrengst">'berekening zonder lening'!$I$5</definedName>
    <definedName name="gemiddeldresultaat">'berekening zonder lening'!$X$6</definedName>
    <definedName name="totaalresultaat">'berekening zonder lening'!$X$5</definedName>
  </definedNames>
  <calcPr fullCalcOnLoad="1"/>
</workbook>
</file>

<file path=xl/sharedStrings.xml><?xml version="1.0" encoding="utf-8"?>
<sst xmlns="http://schemas.openxmlformats.org/spreadsheetml/2006/main" count="70" uniqueCount="50">
  <si>
    <t>Rendemenstberekening 'Raalte Wil Zon'</t>
  </si>
  <si>
    <t>uitgangspunt: met subsidie / zonder duurzaamheidslening</t>
  </si>
  <si>
    <t>Om de gele velden te kunnen bewerken, dient u het document eerst op te slaan op uw eigen computer!</t>
  </si>
  <si>
    <t>zonnepanelen</t>
  </si>
  <si>
    <t>kosten &amp; opbrengsten</t>
  </si>
  <si>
    <t>rendement</t>
  </si>
  <si>
    <t>totalen</t>
  </si>
  <si>
    <t>nominaal vermogen per paneel</t>
  </si>
  <si>
    <t>Wp</t>
  </si>
  <si>
    <t>te verwachten opbrengst per jaar</t>
  </si>
  <si>
    <t>kW</t>
  </si>
  <si>
    <t>kosten verzekering per maand</t>
  </si>
  <si>
    <t>€</t>
  </si>
  <si>
    <t>resultaat over 25 jaar (cumulatief)</t>
  </si>
  <si>
    <t>totaal kosten per Wp</t>
  </si>
  <si>
    <t>totale kosten van de installatie</t>
  </si>
  <si>
    <t>kosten onderhoud per maand</t>
  </si>
  <si>
    <t>gemiddelde resultaat  per jaar</t>
  </si>
  <si>
    <t>oriëntatie t.o.v. Zuid</t>
  </si>
  <si>
    <t>°</t>
  </si>
  <si>
    <t>uit te betalen subsidie per Wp</t>
  </si>
  <si>
    <t>rendement op investering gemiddeld</t>
  </si>
  <si>
    <t>%</t>
  </si>
  <si>
    <t>opstellingshoek</t>
  </si>
  <si>
    <t>totaal uit te betalen subsidie</t>
  </si>
  <si>
    <t>inflatie per jaar</t>
  </si>
  <si>
    <t>ROI (Return On Investment)</t>
  </si>
  <si>
    <t xml:space="preserve">jaar   </t>
  </si>
  <si>
    <t>systeem rendement</t>
  </si>
  <si>
    <t>aanschafkosten</t>
  </si>
  <si>
    <t>prijsstijging energie per jaar</t>
  </si>
  <si>
    <t>aanschafkosten / resultaat</t>
  </si>
  <si>
    <t>energieprijs in 2011</t>
  </si>
  <si>
    <t>opbrengst per paneel</t>
  </si>
  <si>
    <t>afschrijving per jaar</t>
  </si>
  <si>
    <t>veroudering in 25 jaar</t>
  </si>
  <si>
    <t>te installeren aantal zonnepanelen</t>
  </si>
  <si>
    <t>stuks</t>
  </si>
  <si>
    <t>rendementsverlies per jaar</t>
  </si>
  <si>
    <t>opbrengst van het systeem</t>
  </si>
  <si>
    <t>overzicht per jaar</t>
  </si>
  <si>
    <t>jaar</t>
  </si>
  <si>
    <t>totaal energieopbrengst</t>
  </si>
  <si>
    <t>afschrijving</t>
  </si>
  <si>
    <t>verzekering</t>
  </si>
  <si>
    <t>onderhoudskosten</t>
  </si>
  <si>
    <t>totaal kosten</t>
  </si>
  <si>
    <t>netto resultaat</t>
  </si>
  <si>
    <t>netto resultaat (cumulatief)</t>
  </si>
  <si>
    <t>bruto resultaat (cumulatief)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</si>
</sst>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13">
    <font>
      <sz val="10"/>
      <name val="Arial"/>
      <family val="2"/>
    </font>
    <font>
      <sz val="11"/>
      <name val="Calibri"/>
      <family val="2"/>
    </font>
    <font>
      <b/>
      <sz val="21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54"/>
      <name val="Calibri"/>
      <family val="2"/>
    </font>
    <font>
      <i/>
      <sz val="10"/>
      <color indexed="54"/>
      <name val="Calibri"/>
      <family val="2"/>
    </font>
    <font>
      <b/>
      <i/>
      <sz val="10"/>
      <color indexed="54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Fill="1" applyAlignment="1">
      <alignment/>
    </xf>
    <xf numFmtId="164" fontId="1" fillId="2" borderId="0" xfId="0" applyFont="1" applyFill="1" applyAlignment="1" applyProtection="1">
      <alignment horizontal="right"/>
      <protection locked="0"/>
    </xf>
    <xf numFmtId="164" fontId="8" fillId="0" borderId="0" xfId="0" applyFont="1" applyFill="1" applyAlignment="1">
      <alignment/>
    </xf>
    <xf numFmtId="164" fontId="1" fillId="0" borderId="0" xfId="0" applyNumberFormat="1" applyFont="1" applyAlignment="1">
      <alignment horizontal="right"/>
    </xf>
    <xf numFmtId="165" fontId="1" fillId="2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4" fontId="6" fillId="0" borderId="0" xfId="0" applyFont="1" applyBorder="1" applyAlignment="1">
      <alignment/>
    </xf>
    <xf numFmtId="166" fontId="1" fillId="0" borderId="0" xfId="0" applyNumberFormat="1" applyFont="1" applyFill="1" applyAlignment="1">
      <alignment horizontal="right"/>
    </xf>
    <xf numFmtId="164" fontId="6" fillId="0" borderId="0" xfId="0" applyFont="1" applyBorder="1" applyAlignment="1">
      <alignment horizontal="right"/>
    </xf>
    <xf numFmtId="164" fontId="1" fillId="2" borderId="0" xfId="0" applyNumberFormat="1" applyFont="1" applyFill="1" applyAlignment="1" applyProtection="1">
      <alignment horizontal="right"/>
      <protection locked="0"/>
    </xf>
    <xf numFmtId="164" fontId="1" fillId="0" borderId="0" xfId="0" applyFont="1" applyFill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0" fillId="0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11" fillId="0" borderId="0" xfId="0" applyFont="1" applyAlignment="1">
      <alignment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5.00390625" style="1" customWidth="1"/>
    <col min="2" max="2" width="8.7109375" style="2" customWidth="1"/>
    <col min="3" max="3" width="8.7109375" style="3" customWidth="1"/>
    <col min="4" max="25" width="8.7109375" style="1" customWidth="1"/>
    <col min="26" max="16384" width="9.00390625" style="1" customWidth="1"/>
  </cols>
  <sheetData>
    <row r="1" spans="1:3" s="4" customFormat="1" ht="12.75">
      <c r="A1" s="4" t="s">
        <v>0</v>
      </c>
      <c r="B1" s="5"/>
      <c r="C1" s="6"/>
    </row>
    <row r="2" spans="1:19" ht="12.75">
      <c r="A2" s="7" t="s">
        <v>1</v>
      </c>
      <c r="E2" s="8" t="s">
        <v>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12.75">
      <c r="A3" s="10"/>
    </row>
    <row r="4" spans="1:20" s="11" customFormat="1" ht="12.75">
      <c r="A4" s="11" t="s">
        <v>3</v>
      </c>
      <c r="B4" s="12"/>
      <c r="C4" s="13"/>
      <c r="E4" s="11" t="s">
        <v>4</v>
      </c>
      <c r="F4"/>
      <c r="M4" s="11" t="s">
        <v>5</v>
      </c>
      <c r="T4" s="11" t="s">
        <v>6</v>
      </c>
    </row>
    <row r="5" spans="1:26" ht="12.75">
      <c r="A5" s="1" t="s">
        <v>7</v>
      </c>
      <c r="B5" s="14">
        <v>240</v>
      </c>
      <c r="C5" s="15" t="s">
        <v>8</v>
      </c>
      <c r="E5" s="1" t="s">
        <v>9</v>
      </c>
      <c r="F5"/>
      <c r="I5" s="16">
        <f>SUM(TRUNC(systeem*850/1000+0.5))</f>
        <v>2448</v>
      </c>
      <c r="J5" s="15" t="s">
        <v>10</v>
      </c>
      <c r="M5" s="1" t="s">
        <v>11</v>
      </c>
      <c r="Q5" s="17">
        <v>5</v>
      </c>
      <c r="R5" s="15" t="s">
        <v>12</v>
      </c>
      <c r="T5" s="1" t="s">
        <v>13</v>
      </c>
      <c r="X5" s="18">
        <f>SUM(B25:Z25)</f>
        <v>18990.678892276774</v>
      </c>
      <c r="Y5" s="18"/>
      <c r="Z5" s="15" t="s">
        <v>12</v>
      </c>
    </row>
    <row r="6" spans="1:26" ht="12.75">
      <c r="A6" s="1" t="s">
        <v>14</v>
      </c>
      <c r="B6" s="17">
        <v>2.3</v>
      </c>
      <c r="C6" s="15" t="s">
        <v>12</v>
      </c>
      <c r="E6" s="1" t="s">
        <v>15</v>
      </c>
      <c r="F6"/>
      <c r="I6" s="19">
        <f>SUM(aantal*kostenpaneel*kostenWp)</f>
        <v>6623.999999999999</v>
      </c>
      <c r="J6" s="15" t="s">
        <v>12</v>
      </c>
      <c r="M6" s="1" t="s">
        <v>16</v>
      </c>
      <c r="Q6" s="17">
        <v>5</v>
      </c>
      <c r="R6" s="15" t="s">
        <v>12</v>
      </c>
      <c r="T6" s="1" t="s">
        <v>17</v>
      </c>
      <c r="X6" s="18">
        <f>SUM(totaalresultaat/25)</f>
        <v>759.6271556910709</v>
      </c>
      <c r="Y6" s="18"/>
      <c r="Z6" s="15" t="s">
        <v>12</v>
      </c>
    </row>
    <row r="7" spans="1:26" ht="12.75">
      <c r="A7" s="1" t="s">
        <v>18</v>
      </c>
      <c r="B7" s="14">
        <v>0</v>
      </c>
      <c r="C7" s="15" t="s">
        <v>19</v>
      </c>
      <c r="E7" s="1" t="s">
        <v>20</v>
      </c>
      <c r="F7"/>
      <c r="I7" s="17">
        <v>0.7</v>
      </c>
      <c r="J7" s="15" t="s">
        <v>12</v>
      </c>
      <c r="Q7" s="2"/>
      <c r="R7" s="15"/>
      <c r="T7" s="1" t="s">
        <v>21</v>
      </c>
      <c r="X7" s="18">
        <f>SUM(gemiddeldresultaat/aanschafkosten*100)</f>
        <v>16.48496431621248</v>
      </c>
      <c r="Y7" s="18"/>
      <c r="Z7" s="15" t="s">
        <v>22</v>
      </c>
    </row>
    <row r="8" spans="1:26" ht="12.75">
      <c r="A8" s="1" t="s">
        <v>23</v>
      </c>
      <c r="B8" s="14">
        <v>36</v>
      </c>
      <c r="C8" s="15" t="s">
        <v>19</v>
      </c>
      <c r="E8" s="1" t="s">
        <v>24</v>
      </c>
      <c r="F8"/>
      <c r="I8" s="20">
        <f>SUM(subsidie*kostenpaneel*aantal)</f>
        <v>2016</v>
      </c>
      <c r="J8" s="15" t="s">
        <v>12</v>
      </c>
      <c r="M8" s="1" t="s">
        <v>25</v>
      </c>
      <c r="Q8" s="14">
        <v>2</v>
      </c>
      <c r="R8" s="15" t="s">
        <v>22</v>
      </c>
      <c r="T8" s="1" t="s">
        <v>26</v>
      </c>
      <c r="X8" s="21">
        <f>MATCH(0,B29:Z29,+1)+1</f>
        <v>10</v>
      </c>
      <c r="Y8" s="21"/>
      <c r="Z8" s="15" t="s">
        <v>27</v>
      </c>
    </row>
    <row r="9" spans="1:26" ht="12.75">
      <c r="A9" s="1" t="s">
        <v>28</v>
      </c>
      <c r="B9" s="22">
        <f>+100-(35*(orientatie/90))-(ABS(hellingshoek-36)*0.46)</f>
        <v>100</v>
      </c>
      <c r="C9" s="15" t="s">
        <v>22</v>
      </c>
      <c r="E9" s="1" t="s">
        <v>29</v>
      </c>
      <c r="F9"/>
      <c r="I9" s="19">
        <f>SUM(I6-I8)</f>
        <v>4607.999999999999</v>
      </c>
      <c r="J9" s="15" t="s">
        <v>12</v>
      </c>
      <c r="M9" s="1" t="s">
        <v>30</v>
      </c>
      <c r="Q9" s="14">
        <v>6</v>
      </c>
      <c r="R9" s="15" t="s">
        <v>22</v>
      </c>
      <c r="T9" s="1" t="s">
        <v>31</v>
      </c>
      <c r="X9" s="23">
        <f>SUM(TRUNC(aanschafkosten/gemiddeldresultaat+0.5))</f>
        <v>6</v>
      </c>
      <c r="Y9" s="23"/>
      <c r="Z9" s="15" t="s">
        <v>27</v>
      </c>
    </row>
    <row r="10" spans="3:18" ht="12.75">
      <c r="C10" s="15"/>
      <c r="F10"/>
      <c r="I10" s="2"/>
      <c r="J10" s="15"/>
      <c r="M10" s="1" t="s">
        <v>32</v>
      </c>
      <c r="Q10" s="17">
        <v>0.23</v>
      </c>
      <c r="R10" s="15" t="s">
        <v>12</v>
      </c>
    </row>
    <row r="11" spans="1:18" ht="12.75">
      <c r="A11" s="1" t="s">
        <v>33</v>
      </c>
      <c r="B11" s="20">
        <f>SUM(B5*B9/100)</f>
        <v>240</v>
      </c>
      <c r="C11" s="15" t="s">
        <v>8</v>
      </c>
      <c r="E11" s="1" t="s">
        <v>34</v>
      </c>
      <c r="F11"/>
      <c r="I11" s="20">
        <f>SUM(aanschafkosten/25)</f>
        <v>184.31999999999996</v>
      </c>
      <c r="J11" s="15" t="s">
        <v>12</v>
      </c>
      <c r="M11" s="1" t="s">
        <v>35</v>
      </c>
      <c r="Q11" s="14">
        <v>20</v>
      </c>
      <c r="R11" s="15" t="s">
        <v>22</v>
      </c>
    </row>
    <row r="12" spans="1:25" ht="12.75">
      <c r="A12" s="1" t="s">
        <v>36</v>
      </c>
      <c r="B12" s="24">
        <v>12</v>
      </c>
      <c r="C12" s="15" t="s">
        <v>37</v>
      </c>
      <c r="M12" s="1" t="s">
        <v>38</v>
      </c>
      <c r="Q12" s="25">
        <f>SUM(veroudering/25)</f>
        <v>0.8</v>
      </c>
      <c r="R12" s="15" t="s">
        <v>22</v>
      </c>
      <c r="Y12"/>
    </row>
    <row r="13" spans="1:3" ht="12.75">
      <c r="A13" s="1" t="s">
        <v>39</v>
      </c>
      <c r="B13" s="16">
        <f>SUM(TRUNC(aantal*opbrengstpaneel+0.5))</f>
        <v>2880</v>
      </c>
      <c r="C13" s="15" t="s">
        <v>8</v>
      </c>
    </row>
    <row r="14" ht="12.75">
      <c r="B14" s="16"/>
    </row>
    <row r="16" spans="1:3" s="11" customFormat="1" ht="12.75">
      <c r="A16" s="11" t="s">
        <v>40</v>
      </c>
      <c r="B16" s="12"/>
      <c r="C16" s="13"/>
    </row>
    <row r="17" spans="1:26" s="26" customFormat="1" ht="12.75">
      <c r="A17" s="26" t="s">
        <v>41</v>
      </c>
      <c r="B17" s="27">
        <v>1</v>
      </c>
      <c r="C17" s="28">
        <v>2</v>
      </c>
      <c r="D17" s="27">
        <v>3</v>
      </c>
      <c r="E17" s="27">
        <v>4</v>
      </c>
      <c r="F17" s="27">
        <v>5</v>
      </c>
      <c r="G17" s="27">
        <v>6</v>
      </c>
      <c r="H17" s="28">
        <v>7</v>
      </c>
      <c r="I17" s="27">
        <v>8</v>
      </c>
      <c r="J17" s="27">
        <v>9</v>
      </c>
      <c r="K17" s="27">
        <v>10</v>
      </c>
      <c r="L17" s="27">
        <v>11</v>
      </c>
      <c r="M17" s="28">
        <v>12</v>
      </c>
      <c r="N17" s="27">
        <v>13</v>
      </c>
      <c r="O17" s="27">
        <v>14</v>
      </c>
      <c r="P17" s="27">
        <v>15</v>
      </c>
      <c r="Q17" s="27">
        <v>16</v>
      </c>
      <c r="R17" s="28">
        <v>17</v>
      </c>
      <c r="S17" s="27">
        <v>18</v>
      </c>
      <c r="T17" s="27">
        <v>19</v>
      </c>
      <c r="U17" s="27">
        <v>20</v>
      </c>
      <c r="V17" s="27">
        <v>21</v>
      </c>
      <c r="W17" s="28">
        <v>22</v>
      </c>
      <c r="X17" s="27">
        <v>23</v>
      </c>
      <c r="Y17" s="27">
        <v>24</v>
      </c>
      <c r="Z17" s="27">
        <v>25</v>
      </c>
    </row>
    <row r="18" spans="1:26" ht="12.75">
      <c r="A18" s="1" t="s">
        <v>42</v>
      </c>
      <c r="B18" s="29">
        <f>SUM(energieprijs*totaalopbrengst)</f>
        <v>563.0400000000001</v>
      </c>
      <c r="C18" s="30">
        <f>+B18*(100+prijsstijging)/100*(100-rendementsverlies)/100</f>
        <v>592.0478208000001</v>
      </c>
      <c r="D18" s="30">
        <f>+C18*(100+prijsstijging)/100*(100-rendementsverlies)/100</f>
        <v>622.550124527616</v>
      </c>
      <c r="E18" s="30">
        <f>+D18*(100+prijsstijging)/100*(100-rendementsverlies)/100</f>
        <v>654.6239069432788</v>
      </c>
      <c r="F18" s="30">
        <f>+E18*(100+prijsstijging)/100*(100-rendementsverlies)/100</f>
        <v>688.3501306289965</v>
      </c>
      <c r="G18" s="30">
        <f>+F18*(100+prijsstijging)/100*(100-rendementsverlies)/100</f>
        <v>723.8139293590024</v>
      </c>
      <c r="H18" s="30">
        <f>+G18*(100+prijsstijging)/100*(100-rendementsverlies)/100</f>
        <v>761.1048229995781</v>
      </c>
      <c r="I18" s="30">
        <f>+H18*(100+prijsstijging)/100*(100-rendementsverlies)/100</f>
        <v>800.3169434805164</v>
      </c>
      <c r="J18" s="30">
        <f>+I18*(100+prijsstijging)/100*(100-rendementsverlies)/100</f>
        <v>841.5492724086329</v>
      </c>
      <c r="K18" s="30">
        <f>+J18*(100+prijsstijging)/100*(100-rendementsverlies)/100</f>
        <v>884.9058909231258</v>
      </c>
      <c r="L18" s="30">
        <f>+K18*(100+prijsstijging)/100*(100-rendementsverlies)/100</f>
        <v>930.4962424234852</v>
      </c>
      <c r="M18" s="30">
        <f>+L18*(100+prijsstijging)/100*(100-rendementsverlies)/100</f>
        <v>978.4354088331431</v>
      </c>
      <c r="N18" s="30">
        <f>+M18*(100+prijsstijging)/100*(100-rendementsverlies)/100</f>
        <v>1028.8444010962266</v>
      </c>
      <c r="O18" s="30">
        <f>+N18*(100+prijsstijging)/100*(100-rendementsverlies)/100</f>
        <v>1081.8504646407043</v>
      </c>
      <c r="P18" s="30">
        <f>+O18*(100+prijsstijging)/100*(100-rendementsverlies)/100</f>
        <v>1137.5874005789933</v>
      </c>
      <c r="Q18" s="30">
        <f>+P18*(100+prijsstijging)/100*(100-rendementsverlies)/100</f>
        <v>1196.195903456823</v>
      </c>
      <c r="R18" s="30">
        <f>+Q18*(100+prijsstijging)/100*(100-rendementsverlies)/100</f>
        <v>1257.8239164029187</v>
      </c>
      <c r="S18" s="30">
        <f>+R18*(100+prijsstijging)/100*(100-rendementsverlies)/100</f>
        <v>1322.627004575997</v>
      </c>
      <c r="T18" s="30">
        <f>+S18*(100+prijsstijging)/100*(100-rendementsverlies)/100</f>
        <v>1390.7687478517523</v>
      </c>
      <c r="U18" s="30">
        <f>+T18*(100+prijsstijging)/100*(100-rendementsverlies)/100</f>
        <v>1462.4211537410745</v>
      </c>
      <c r="V18" s="30">
        <f>+U18*(100+prijsstijging)/100*(100-rendementsverlies)/100</f>
        <v>1537.7650915818147</v>
      </c>
      <c r="W18" s="30">
        <f>+V18*(100+prijsstijging)/100*(100-rendementsverlies)/100</f>
        <v>1616.9907491001097</v>
      </c>
      <c r="X18" s="30">
        <f>+W18*(100+prijsstijging)/100*(100-rendementsverlies)/100</f>
        <v>1700.2981124937473</v>
      </c>
      <c r="Y18" s="30">
        <f>+X18*(100+prijsstijging)/100*(100-rendementsverlies)/100</f>
        <v>1787.897471249425</v>
      </c>
      <c r="Z18" s="30">
        <f>+Y18*(100+prijsstijging)/100*(100-rendementsverlies)/100</f>
        <v>1880.0099489681954</v>
      </c>
    </row>
    <row r="19" spans="2:26" ht="12.75"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" t="s">
        <v>43</v>
      </c>
      <c r="B20" s="20">
        <f>afschrijving</f>
        <v>184.31999999999996</v>
      </c>
      <c r="C20" s="20">
        <f>afschrijving</f>
        <v>184.31999999999996</v>
      </c>
      <c r="D20" s="20">
        <f>afschrijving</f>
        <v>184.31999999999996</v>
      </c>
      <c r="E20" s="20">
        <f>afschrijving</f>
        <v>184.31999999999996</v>
      </c>
      <c r="F20" s="20">
        <f>afschrijving</f>
        <v>184.31999999999996</v>
      </c>
      <c r="G20" s="20">
        <f>afschrijving</f>
        <v>184.31999999999996</v>
      </c>
      <c r="H20" s="20">
        <f>afschrijving</f>
        <v>184.31999999999996</v>
      </c>
      <c r="I20" s="20">
        <f>afschrijving</f>
        <v>184.31999999999996</v>
      </c>
      <c r="J20" s="20">
        <f>afschrijving</f>
        <v>184.31999999999996</v>
      </c>
      <c r="K20" s="20">
        <f>afschrijving</f>
        <v>184.31999999999996</v>
      </c>
      <c r="L20" s="20">
        <f>afschrijving</f>
        <v>184.31999999999996</v>
      </c>
      <c r="M20" s="20">
        <f>afschrijving</f>
        <v>184.31999999999996</v>
      </c>
      <c r="N20" s="20">
        <f>afschrijving</f>
        <v>184.31999999999996</v>
      </c>
      <c r="O20" s="20">
        <f>afschrijving</f>
        <v>184.31999999999996</v>
      </c>
      <c r="P20" s="20">
        <f>afschrijving</f>
        <v>184.31999999999996</v>
      </c>
      <c r="Q20" s="20">
        <f>afschrijving</f>
        <v>184.31999999999996</v>
      </c>
      <c r="R20" s="20">
        <f>afschrijving</f>
        <v>184.31999999999996</v>
      </c>
      <c r="S20" s="20">
        <f>afschrijving</f>
        <v>184.31999999999996</v>
      </c>
      <c r="T20" s="20">
        <f>afschrijving</f>
        <v>184.31999999999996</v>
      </c>
      <c r="U20" s="20">
        <f>afschrijving</f>
        <v>184.31999999999996</v>
      </c>
      <c r="V20" s="20">
        <f>afschrijving</f>
        <v>184.31999999999996</v>
      </c>
      <c r="W20" s="20">
        <f>afschrijving</f>
        <v>184.31999999999996</v>
      </c>
      <c r="X20" s="20">
        <f>afschrijving</f>
        <v>184.31999999999996</v>
      </c>
      <c r="Y20" s="20">
        <f>afschrijving</f>
        <v>184.31999999999996</v>
      </c>
      <c r="Z20" s="20">
        <f>afschrijving</f>
        <v>184.31999999999996</v>
      </c>
    </row>
    <row r="21" spans="1:26" ht="12.75">
      <c r="A21" s="1" t="s">
        <v>44</v>
      </c>
      <c r="B21" s="20">
        <f>verzekering*12</f>
        <v>60</v>
      </c>
      <c r="C21" s="19">
        <f>+B21*(100+inflatie)/100</f>
        <v>61.2</v>
      </c>
      <c r="D21" s="19">
        <f>+C21*(100+inflatie)/100</f>
        <v>62.42400000000001</v>
      </c>
      <c r="E21" s="19">
        <f>+D21*(100+inflatie)/100</f>
        <v>63.67248000000001</v>
      </c>
      <c r="F21" s="19">
        <f>+E21*(100+inflatie)/100</f>
        <v>64.94592960000001</v>
      </c>
      <c r="G21" s="19">
        <f>+F21*(100+inflatie)/100</f>
        <v>66.24484819200002</v>
      </c>
      <c r="H21" s="19">
        <f>+G21*(100+inflatie)/100</f>
        <v>67.56974515584002</v>
      </c>
      <c r="I21" s="19">
        <f>+H21*(100+inflatie)/100</f>
        <v>68.92114005895682</v>
      </c>
      <c r="J21" s="19">
        <f>+I21*(100+inflatie)/100</f>
        <v>70.29956286013595</v>
      </c>
      <c r="K21" s="19">
        <f>+J21*(100+inflatie)/100</f>
        <v>71.70555411733866</v>
      </c>
      <c r="L21" s="19">
        <f>+K21*(100+inflatie)/100</f>
        <v>73.13966519968544</v>
      </c>
      <c r="M21" s="19">
        <f>+L21*(100+inflatie)/100</f>
        <v>74.60245850367914</v>
      </c>
      <c r="N21" s="19">
        <f>+M21*(100+inflatie)/100</f>
        <v>76.09450767375273</v>
      </c>
      <c r="O21" s="19">
        <f>+N21*(100+inflatie)/100</f>
        <v>77.61639782722779</v>
      </c>
      <c r="P21" s="19">
        <f>+O21*(100+inflatie)/100</f>
        <v>79.16872578377235</v>
      </c>
      <c r="Q21" s="19">
        <f>+P21*(100+inflatie)/100</f>
        <v>80.75210029944779</v>
      </c>
      <c r="R21" s="19">
        <f>+Q21*(100+inflatie)/100</f>
        <v>82.36714230543674</v>
      </c>
      <c r="S21" s="19">
        <f>+R21*(100+inflatie)/100</f>
        <v>84.01448515154549</v>
      </c>
      <c r="T21" s="19">
        <f>+S21*(100+inflatie)/100</f>
        <v>85.6947748545764</v>
      </c>
      <c r="U21" s="19">
        <f>+T21*(100+inflatie)/100</f>
        <v>87.40867035166792</v>
      </c>
      <c r="V21" s="19">
        <f>+U21*(100+inflatie)/100</f>
        <v>89.15684375870129</v>
      </c>
      <c r="W21" s="19">
        <f>+V21*(100+inflatie)/100</f>
        <v>90.93998063387531</v>
      </c>
      <c r="X21" s="19">
        <f>+W21*(100+inflatie)/100</f>
        <v>92.75878024655282</v>
      </c>
      <c r="Y21" s="19">
        <f>+X21*(100+inflatie)/100</f>
        <v>94.61395585148388</v>
      </c>
      <c r="Z21" s="19">
        <f>+Y21*(100+inflatie)/100</f>
        <v>96.50623496851357</v>
      </c>
    </row>
    <row r="22" spans="1:26" ht="12.75">
      <c r="A22" s="1" t="s">
        <v>45</v>
      </c>
      <c r="B22" s="20">
        <f>onderhoud*12</f>
        <v>60</v>
      </c>
      <c r="C22" s="19">
        <f>+B22*(100+inflatie)/100</f>
        <v>61.2</v>
      </c>
      <c r="D22" s="19">
        <f>+C22*(100+inflatie)/100</f>
        <v>62.42400000000001</v>
      </c>
      <c r="E22" s="19">
        <f>+D22*(100+inflatie)/100</f>
        <v>63.67248000000001</v>
      </c>
      <c r="F22" s="19">
        <f>+E22*(100+inflatie)/100</f>
        <v>64.94592960000001</v>
      </c>
      <c r="G22" s="19">
        <f>+F22*(100+inflatie)/100</f>
        <v>66.24484819200002</v>
      </c>
      <c r="H22" s="19">
        <f>+G22*(100+inflatie)/100</f>
        <v>67.56974515584002</v>
      </c>
      <c r="I22" s="19">
        <f>+H22*(100+inflatie)/100</f>
        <v>68.92114005895682</v>
      </c>
      <c r="J22" s="19">
        <f>+I22*(100+inflatie)/100</f>
        <v>70.29956286013595</v>
      </c>
      <c r="K22" s="19">
        <f>+J22*(100+inflatie)/100</f>
        <v>71.70555411733866</v>
      </c>
      <c r="L22" s="19">
        <f>+K22*(100+inflatie)/100</f>
        <v>73.13966519968544</v>
      </c>
      <c r="M22" s="19">
        <f>+L22*(100+inflatie)/100</f>
        <v>74.60245850367914</v>
      </c>
      <c r="N22" s="19">
        <f>+M22*(100+inflatie)/100</f>
        <v>76.09450767375273</v>
      </c>
      <c r="O22" s="19">
        <f>+N22*(100+inflatie)/100</f>
        <v>77.61639782722779</v>
      </c>
      <c r="P22" s="19">
        <f>+O22*(100+inflatie)/100</f>
        <v>79.16872578377235</v>
      </c>
      <c r="Q22" s="19">
        <f>+P22*(100+inflatie)/100</f>
        <v>80.75210029944779</v>
      </c>
      <c r="R22" s="19">
        <f>+Q22*(100+inflatie)/100</f>
        <v>82.36714230543674</v>
      </c>
      <c r="S22" s="19">
        <f>+R22*(100+inflatie)/100</f>
        <v>84.01448515154549</v>
      </c>
      <c r="T22" s="19">
        <f>+S22*(100+inflatie)/100</f>
        <v>85.6947748545764</v>
      </c>
      <c r="U22" s="19">
        <f>+T22*(100+inflatie)/100</f>
        <v>87.40867035166792</v>
      </c>
      <c r="V22" s="19">
        <f>+U22*(100+inflatie)/100</f>
        <v>89.15684375870129</v>
      </c>
      <c r="W22" s="19">
        <f>+V22*(100+inflatie)/100</f>
        <v>90.93998063387531</v>
      </c>
      <c r="X22" s="19">
        <f>+W22*(100+inflatie)/100</f>
        <v>92.75878024655282</v>
      </c>
      <c r="Y22" s="19">
        <f>+X22*(100+inflatie)/100</f>
        <v>94.61395585148388</v>
      </c>
      <c r="Z22" s="19">
        <f>+Y22*(100+inflatie)/100</f>
        <v>96.50623496851357</v>
      </c>
    </row>
    <row r="23" spans="1:26" ht="12.75">
      <c r="A23" s="1" t="s">
        <v>46</v>
      </c>
      <c r="B23" s="29">
        <f>SUM(B20:B22)</f>
        <v>304.31999999999994</v>
      </c>
      <c r="C23" s="29">
        <f>SUM(C20:C22)</f>
        <v>306.71999999999997</v>
      </c>
      <c r="D23" s="29">
        <f>SUM(D20:D22)</f>
        <v>309.168</v>
      </c>
      <c r="E23" s="29">
        <f>SUM(E20:E22)</f>
        <v>311.66495999999995</v>
      </c>
      <c r="F23" s="29">
        <f>SUM(F20:F22)</f>
        <v>314.2118592</v>
      </c>
      <c r="G23" s="29">
        <f>SUM(G20:G22)</f>
        <v>316.809696384</v>
      </c>
      <c r="H23" s="29">
        <f>SUM(H20:H22)</f>
        <v>319.45949031168004</v>
      </c>
      <c r="I23" s="29">
        <f>SUM(I20:I22)</f>
        <v>322.1622801179136</v>
      </c>
      <c r="J23" s="29">
        <f>SUM(J20:J22)</f>
        <v>324.91912572027184</v>
      </c>
      <c r="K23" s="29">
        <f>SUM(K20:K22)</f>
        <v>327.7311082346773</v>
      </c>
      <c r="L23" s="29">
        <f>SUM(L20:L22)</f>
        <v>330.59933039937084</v>
      </c>
      <c r="M23" s="29">
        <f>SUM(M20:M22)</f>
        <v>333.5249170073582</v>
      </c>
      <c r="N23" s="29">
        <f>SUM(N20:N22)</f>
        <v>336.5090153475054</v>
      </c>
      <c r="O23" s="29">
        <f>SUM(O20:O22)</f>
        <v>339.5527956544555</v>
      </c>
      <c r="P23" s="29">
        <f>SUM(P20:P22)</f>
        <v>342.6574515675446</v>
      </c>
      <c r="Q23" s="29">
        <f>SUM(Q20:Q22)</f>
        <v>345.8242005988956</v>
      </c>
      <c r="R23" s="29">
        <f>SUM(R20:R22)</f>
        <v>349.0542846108734</v>
      </c>
      <c r="S23" s="29">
        <f>SUM(S20:S22)</f>
        <v>352.34897030309094</v>
      </c>
      <c r="T23" s="29">
        <f>SUM(T20:T22)</f>
        <v>355.7095497091527</v>
      </c>
      <c r="U23" s="29">
        <f>SUM(U20:U22)</f>
        <v>359.1373407033358</v>
      </c>
      <c r="V23" s="29">
        <f>SUM(V20:V22)</f>
        <v>362.63368751740256</v>
      </c>
      <c r="W23" s="29">
        <f>SUM(W20:W22)</f>
        <v>366.1999612677506</v>
      </c>
      <c r="X23" s="29">
        <f>SUM(X20:X22)</f>
        <v>369.83756049310557</v>
      </c>
      <c r="Y23" s="29">
        <f>SUM(Y20:Y22)</f>
        <v>373.5479117029677</v>
      </c>
      <c r="Z23" s="29">
        <f>SUM(Z20:Z22)</f>
        <v>377.3324699370271</v>
      </c>
    </row>
    <row r="24" spans="3:26" ht="12.7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1" t="s">
        <v>47</v>
      </c>
      <c r="B25" s="29">
        <f>+B18-B23</f>
        <v>258.72000000000014</v>
      </c>
      <c r="C25" s="30">
        <f>+C18-C23</f>
        <v>285.3278208000001</v>
      </c>
      <c r="D25" s="30">
        <f>+D18-D23</f>
        <v>313.38212452761604</v>
      </c>
      <c r="E25" s="30">
        <f>+E18-E23</f>
        <v>342.9589469432789</v>
      </c>
      <c r="F25" s="30">
        <f>+F18-F23</f>
        <v>374.13827142899646</v>
      </c>
      <c r="G25" s="30">
        <f>+G18-G23</f>
        <v>407.00423297500237</v>
      </c>
      <c r="H25" s="30">
        <f>+H18-H23</f>
        <v>441.6453326878981</v>
      </c>
      <c r="I25" s="30">
        <f>+I18-I23</f>
        <v>478.15466336260283</v>
      </c>
      <c r="J25" s="30">
        <f>+J18-J23</f>
        <v>516.630146688361</v>
      </c>
      <c r="K25" s="30">
        <f>+K18-K23</f>
        <v>557.1747826884484</v>
      </c>
      <c r="L25" s="30">
        <f>+L18-L23</f>
        <v>599.8969120241144</v>
      </c>
      <c r="M25" s="30">
        <f>+M18-M23</f>
        <v>644.9104918257849</v>
      </c>
      <c r="N25" s="30">
        <f>+N18-N23</f>
        <v>692.3353857487213</v>
      </c>
      <c r="O25" s="30">
        <f>+O18-O23</f>
        <v>742.2976689862488</v>
      </c>
      <c r="P25" s="30">
        <f>+P18-P23</f>
        <v>794.9299490114487</v>
      </c>
      <c r="Q25" s="30">
        <f>+Q18-Q23</f>
        <v>850.3717028579275</v>
      </c>
      <c r="R25" s="30">
        <f>+R18-R23</f>
        <v>908.7696317920453</v>
      </c>
      <c r="S25" s="30">
        <f>+S18-S23</f>
        <v>970.2780342729061</v>
      </c>
      <c r="T25" s="30">
        <f>+T18-T23</f>
        <v>1035.0591981425996</v>
      </c>
      <c r="U25" s="30">
        <f>+U18-U23</f>
        <v>1103.2838130377386</v>
      </c>
      <c r="V25" s="30">
        <f>+V18-V23</f>
        <v>1175.131404064412</v>
      </c>
      <c r="W25" s="30">
        <f>+W18-W23</f>
        <v>1250.790787832359</v>
      </c>
      <c r="X25" s="30">
        <f>+X18-X23</f>
        <v>1330.4605520006417</v>
      </c>
      <c r="Y25" s="30">
        <f>+Y18-Y23</f>
        <v>1414.3495595464574</v>
      </c>
      <c r="Z25" s="30">
        <f>+Z18-Z23</f>
        <v>1502.6774790311683</v>
      </c>
    </row>
    <row r="26" spans="2:26" ht="12.7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31" customFormat="1" ht="12.75">
      <c r="A27" s="31" t="s">
        <v>48</v>
      </c>
      <c r="B27" s="32">
        <f>B25</f>
        <v>258.72000000000014</v>
      </c>
      <c r="C27" s="33">
        <f>SUM(C25+B27)</f>
        <v>544.0478208000002</v>
      </c>
      <c r="D27" s="33">
        <f>SUM(D25+C27)</f>
        <v>857.4299453276162</v>
      </c>
      <c r="E27" s="33">
        <f>SUM(E25+D27)</f>
        <v>1200.3888922708952</v>
      </c>
      <c r="F27" s="33">
        <f>SUM(F25+E27)</f>
        <v>1574.5271636998916</v>
      </c>
      <c r="G27" s="33">
        <f>SUM(G25+F27)</f>
        <v>1981.531396674894</v>
      </c>
      <c r="H27" s="33">
        <f>SUM(H25+G27)</f>
        <v>2423.1767293627922</v>
      </c>
      <c r="I27" s="33">
        <f>SUM(I25+H27)</f>
        <v>2901.331392725395</v>
      </c>
      <c r="J27" s="33">
        <f>SUM(J25+I27)</f>
        <v>3417.961539413756</v>
      </c>
      <c r="K27" s="33">
        <f>SUM(K25+J27)</f>
        <v>3975.1363221022043</v>
      </c>
      <c r="L27" s="33">
        <f>SUM(L25+K27)</f>
        <v>4575.033234126318</v>
      </c>
      <c r="M27" s="33">
        <f>SUM(M25+L27)</f>
        <v>5219.943725952104</v>
      </c>
      <c r="N27" s="33">
        <f>SUM(N25+M27)</f>
        <v>5912.279111700825</v>
      </c>
      <c r="O27" s="33">
        <f>SUM(O25+N27)</f>
        <v>6654.576780687074</v>
      </c>
      <c r="P27" s="33">
        <f>SUM(P25+O27)</f>
        <v>7449.506729698523</v>
      </c>
      <c r="Q27" s="33">
        <f>SUM(Q25+P27)</f>
        <v>8299.87843255645</v>
      </c>
      <c r="R27" s="33">
        <f>SUM(R25+Q27)</f>
        <v>9208.648064348496</v>
      </c>
      <c r="S27" s="33">
        <f>SUM(S25+R27)</f>
        <v>10178.926098621401</v>
      </c>
      <c r="T27" s="33">
        <f>SUM(T25+S27)</f>
        <v>11213.985296764</v>
      </c>
      <c r="U27" s="33">
        <f>SUM(U25+T27)</f>
        <v>12317.269109801739</v>
      </c>
      <c r="V27" s="33">
        <f>SUM(V25+U27)</f>
        <v>13492.40051386615</v>
      </c>
      <c r="W27" s="33">
        <f>SUM(W25+V27)</f>
        <v>14743.191301698509</v>
      </c>
      <c r="X27" s="33">
        <f>SUM(X25+W27)</f>
        <v>16073.65185369915</v>
      </c>
      <c r="Y27" s="33">
        <f>SUM(Y25+X27)</f>
        <v>17488.001413245605</v>
      </c>
      <c r="Z27" s="33">
        <f>SUM(Z25+Y27)</f>
        <v>18990.678892276774</v>
      </c>
    </row>
    <row r="28" spans="1:26" s="31" customFormat="1" ht="12.75">
      <c r="A28" s="31" t="s">
        <v>49</v>
      </c>
      <c r="B28" s="34">
        <f>SUM(B25+SUM(B21:B22))</f>
        <v>378.72000000000014</v>
      </c>
      <c r="C28" s="34">
        <f>SUM(C25+SUM(C21:C22))+B28</f>
        <v>786.4478208000003</v>
      </c>
      <c r="D28" s="34">
        <f>SUM(D25+SUM(D21:D22))+C28</f>
        <v>1224.6779453276163</v>
      </c>
      <c r="E28" s="34">
        <f>SUM(E25+SUM(E21:E22))+D28</f>
        <v>1694.9818522708952</v>
      </c>
      <c r="F28" s="34">
        <f>SUM(F25+SUM(F21:F22))+E28</f>
        <v>2199.011982899892</v>
      </c>
      <c r="G28" s="34">
        <f>SUM(G25+SUM(G21:G22))+F28</f>
        <v>2738.505912258894</v>
      </c>
      <c r="H28" s="34">
        <f>SUM(H25+SUM(H21:H22))+G28</f>
        <v>3315.2907352584725</v>
      </c>
      <c r="I28" s="34">
        <f>SUM(I25+SUM(I21:I22))+H28</f>
        <v>3931.287678738989</v>
      </c>
      <c r="J28" s="34">
        <f>SUM(J25+SUM(J21:J22))+I28</f>
        <v>4588.516951147622</v>
      </c>
      <c r="K28" s="34">
        <f>SUM(K25+SUM(K21:K22))+J28</f>
        <v>5289.102842070748</v>
      </c>
      <c r="L28" s="34">
        <f>SUM(L25+SUM(L21:L22))+K28</f>
        <v>6035.279084494234</v>
      </c>
      <c r="M28" s="34">
        <f>SUM(M25+SUM(M21:M22))+L28</f>
        <v>6829.394493327377</v>
      </c>
      <c r="N28" s="34">
        <f>SUM(N25+SUM(N21:N22))+M28</f>
        <v>7673.918894423604</v>
      </c>
      <c r="O28" s="34">
        <f>SUM(O25+SUM(O21:O22))+N28</f>
        <v>8571.449359064309</v>
      </c>
      <c r="P28" s="34">
        <f>SUM(P25+SUM(P21:P22))+O28</f>
        <v>9524.716759643303</v>
      </c>
      <c r="Q28" s="34">
        <f>SUM(Q25+SUM(Q21:Q22))+P28</f>
        <v>10536.592663100126</v>
      </c>
      <c r="R28" s="34">
        <f>SUM(R25+SUM(R21:R22))+Q28</f>
        <v>11610.096579503044</v>
      </c>
      <c r="S28" s="34">
        <f>SUM(S25+SUM(S21:S22))+R28</f>
        <v>12748.403584079042</v>
      </c>
      <c r="T28" s="34">
        <f>SUM(T25+SUM(T21:T22))+S28</f>
        <v>13954.852331930795</v>
      </c>
      <c r="U28" s="34">
        <f>SUM(U25+SUM(U21:U22))+T28</f>
        <v>15232.95348567187</v>
      </c>
      <c r="V28" s="34">
        <f>SUM(V25+SUM(V21:V22))+U28</f>
        <v>16586.398577253683</v>
      </c>
      <c r="W28" s="34">
        <f>SUM(W25+SUM(W21:W22))+V28</f>
        <v>18019.069326353794</v>
      </c>
      <c r="X28" s="34">
        <f>SUM(X25+SUM(X21:X22))+W28</f>
        <v>19535.04743884754</v>
      </c>
      <c r="Y28" s="34">
        <f>SUM(Y25+SUM(Y21:Y22))+X28</f>
        <v>21138.624910096965</v>
      </c>
      <c r="Z28" s="34">
        <f>SUM(Z25+SUM(Z21:Z22))+Y28</f>
        <v>22834.31485906516</v>
      </c>
    </row>
    <row r="29" spans="1:26" s="31" customFormat="1" ht="12.75">
      <c r="A29" s="31" t="s">
        <v>26</v>
      </c>
      <c r="B29" s="35">
        <f>SUM(B28-aanschafkosten)/aanschafkosten</f>
        <v>-0.9178124999999999</v>
      </c>
      <c r="C29" s="35">
        <f>SUM(C28-aanschafkosten)/aanschafkosten</f>
        <v>-0.8293299</v>
      </c>
      <c r="D29" s="35">
        <f>SUM(D28-aanschafkosten)/aanschafkosten</f>
        <v>-0.7342278764479999</v>
      </c>
      <c r="E29" s="35">
        <f>SUM(E28-aanschafkosten)/aanschafkosten</f>
        <v>-0.6321653966426009</v>
      </c>
      <c r="F29" s="35">
        <f>SUM(F28-aanschafkosten)/aanschafkosten</f>
        <v>-0.5227838578776276</v>
      </c>
      <c r="G29" s="35">
        <f>SUM(G28-aanschafkosten)/aanschafkosten</f>
        <v>-0.40570618223548294</v>
      </c>
      <c r="H29" s="35">
        <f>SUM(H28-aanschafkosten)/aanschafkosten</f>
        <v>-0.28053586474425496</v>
      </c>
      <c r="I29" s="35">
        <f>SUM(I28-aanschafkosten)/aanschafkosten</f>
        <v>-0.14685597249587892</v>
      </c>
      <c r="J29" s="35">
        <f>SUM(J28-aanschafkosten)/aanschafkosten</f>
        <v>-0.004228092198866465</v>
      </c>
      <c r="K29" s="35">
        <f>SUM(K28-aanschafkosten)/aanschafkosten</f>
        <v>0.14780877649104798</v>
      </c>
      <c r="L29" s="35">
        <f>SUM(L28-aanschafkosten)/aanschafkosten</f>
        <v>0.309739384655867</v>
      </c>
      <c r="M29" s="35">
        <f>SUM(M28-aanschafkosten)/aanschafkosten</f>
        <v>0.4820734577533373</v>
      </c>
      <c r="N29" s="35">
        <f>SUM(N28-aanschafkosten)/aanschafkosten</f>
        <v>0.6653469822967893</v>
      </c>
      <c r="O29" s="35">
        <f>SUM(O28-aanschafkosten)/aanschafkosten</f>
        <v>0.8601235588247201</v>
      </c>
      <c r="P29" s="35">
        <f>SUM(P28-aanschafkosten)/aanschafkosten</f>
        <v>1.06699582457537</v>
      </c>
      <c r="Q29" s="35">
        <f>SUM(Q28-aanschafkosten)/aanschafkosten</f>
        <v>1.286586949457493</v>
      </c>
      <c r="R29" s="35">
        <f>SUM(R28-aanschafkosten)/aanschafkosten</f>
        <v>1.5195522090935432</v>
      </c>
      <c r="S29" s="35">
        <f>SUM(S28-aanschafkosten)/aanschafkosten</f>
        <v>1.7665806389060426</v>
      </c>
      <c r="T29" s="35">
        <f>SUM(T28-aanschafkosten)/aanschafkosten</f>
        <v>2.0283967734224824</v>
      </c>
      <c r="U29" s="35">
        <f>SUM(U28-aanschafkosten)/aanschafkosten</f>
        <v>2.3057624751892085</v>
      </c>
      <c r="V29" s="35">
        <f>SUM(V28-aanschafkosten)/aanschafkosten</f>
        <v>2.599478857910956</v>
      </c>
      <c r="W29" s="35">
        <f>SUM(W28-aanschafkosten)/aanschafkosten</f>
        <v>2.910388308670529</v>
      </c>
      <c r="X29" s="35">
        <f>SUM(X28-aanschafkosten)/aanschafkosten</f>
        <v>3.2393766143332345</v>
      </c>
      <c r="Y29" s="35">
        <f>SUM(Y28-aanschafkosten)/aanschafkosten</f>
        <v>3.5873751975036825</v>
      </c>
      <c r="Z29" s="35">
        <f>SUM(Z28-aanschafkosten)/aanschafkosten</f>
        <v>3.9553634676790725</v>
      </c>
    </row>
    <row r="31" spans="3:26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sheetProtection sheet="1"/>
  <mergeCells count="5">
    <mergeCell ref="X5:Y5"/>
    <mergeCell ref="X6:Y6"/>
    <mergeCell ref="X7:Y7"/>
    <mergeCell ref="X8:Y8"/>
    <mergeCell ref="X9:Y9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H.Tibben</dc:creator>
  <cp:keywords/>
  <dc:description/>
  <cp:lastModifiedBy>Sander Booijink</cp:lastModifiedBy>
  <cp:lastPrinted>2012-01-31T09:58:08Z</cp:lastPrinted>
  <dcterms:created xsi:type="dcterms:W3CDTF">2011-08-28T07:24:07Z</dcterms:created>
  <dcterms:modified xsi:type="dcterms:W3CDTF">2012-02-16T21:01:29Z</dcterms:modified>
  <cp:category/>
  <cp:version/>
  <cp:contentType/>
  <cp:contentStatus/>
  <cp:revision>37</cp:revision>
</cp:coreProperties>
</file>